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DOSSIER LADIFATOU Octobre 2018\amla\2018\Octobre 19\"/>
    </mc:Choice>
  </mc:AlternateContent>
  <bookViews>
    <workbookView xWindow="0" yWindow="0" windowWidth="11670" windowHeight="4635"/>
  </bookViews>
  <sheets>
    <sheet name="ETAT DE PAIE" sheetId="1" r:id="rId1"/>
    <sheet name="Feuil1" sheetId="2" r:id="rId2"/>
  </sheets>
  <calcPr calcId="152511"/>
</workbook>
</file>

<file path=xl/calcChain.xml><?xml version="1.0" encoding="utf-8"?>
<calcChain xmlns="http://schemas.openxmlformats.org/spreadsheetml/2006/main">
  <c r="Y11" i="1" l="1"/>
  <c r="Y16" i="1" s="1"/>
  <c r="Z16" i="1"/>
  <c r="A2" i="1" l="1"/>
  <c r="M9" i="1" l="1"/>
  <c r="T9" i="1" s="1"/>
  <c r="N9" i="1"/>
  <c r="W9" i="1" s="1"/>
  <c r="O9" i="1"/>
  <c r="P9" i="1" l="1"/>
  <c r="Q9" i="1" s="1"/>
  <c r="U9" i="1"/>
  <c r="S9" i="1"/>
  <c r="R9" i="1"/>
  <c r="V9" i="1"/>
  <c r="X9" i="1" l="1"/>
  <c r="AA9" i="1" s="1"/>
  <c r="AA14" i="1"/>
  <c r="O14" i="1"/>
  <c r="V7" i="1" l="1"/>
  <c r="V8" i="1"/>
  <c r="O7" i="1"/>
  <c r="S7" i="1" s="1"/>
  <c r="O8" i="1"/>
  <c r="R8" i="1" s="1"/>
  <c r="N7" i="1"/>
  <c r="W7" i="1" s="1"/>
  <c r="N8" i="1"/>
  <c r="W8" i="1" s="1"/>
  <c r="M7" i="1"/>
  <c r="M8" i="1"/>
  <c r="U8" i="1" s="1"/>
  <c r="S8" i="1" l="1"/>
  <c r="P8" i="1"/>
  <c r="T8" i="1"/>
  <c r="P7" i="1"/>
  <c r="R7" i="1"/>
  <c r="T7" i="1"/>
  <c r="U7" i="1"/>
  <c r="AA16" i="1"/>
  <c r="Q8" i="1" l="1"/>
  <c r="X8" i="1" s="1"/>
  <c r="AA8" i="1" s="1"/>
  <c r="Q7" i="1"/>
  <c r="X7" i="1" s="1"/>
  <c r="AA7" i="1" s="1"/>
  <c r="O5" i="1" l="1"/>
  <c r="S5" i="1" s="1"/>
  <c r="N5" i="1"/>
  <c r="W5" i="1" s="1"/>
  <c r="M5" i="1"/>
  <c r="V5" i="1"/>
  <c r="U5" i="1" l="1"/>
  <c r="T5" i="1"/>
  <c r="P5" i="1"/>
  <c r="R5" i="1"/>
  <c r="M6" i="1"/>
  <c r="V6" i="1"/>
  <c r="O6" i="1"/>
  <c r="S6" i="1" s="1"/>
  <c r="N6" i="1"/>
  <c r="W6" i="1" s="1"/>
  <c r="U6" i="1" l="1"/>
  <c r="T6" i="1"/>
  <c r="Q5" i="1"/>
  <c r="X5" i="1" s="1"/>
  <c r="AA5" i="1" s="1"/>
  <c r="P6" i="1"/>
  <c r="Q6" i="1" s="1"/>
  <c r="R6" i="1"/>
  <c r="X6" i="1" l="1"/>
  <c r="AA6" i="1" s="1"/>
  <c r="F11" i="1" l="1"/>
  <c r="F16" i="1" s="1"/>
  <c r="M4" i="1" l="1"/>
  <c r="M10" i="1"/>
  <c r="M3" i="1"/>
  <c r="V4" i="1"/>
  <c r="V10" i="1"/>
  <c r="V3" i="1"/>
  <c r="O3" i="1"/>
  <c r="R3" i="1" s="1"/>
  <c r="N3" i="1"/>
  <c r="W3" i="1" s="1"/>
  <c r="G11" i="1"/>
  <c r="G16" i="1" s="1"/>
  <c r="H11" i="1"/>
  <c r="H16" i="1" s="1"/>
  <c r="I11" i="1"/>
  <c r="I16" i="1" s="1"/>
  <c r="J11" i="1"/>
  <c r="J16" i="1" s="1"/>
  <c r="K11" i="1"/>
  <c r="K16" i="1" s="1"/>
  <c r="L11" i="1"/>
  <c r="L16" i="1" s="1"/>
  <c r="N4" i="1"/>
  <c r="W4" i="1" s="1"/>
  <c r="O4" i="1"/>
  <c r="N10" i="1"/>
  <c r="W10" i="1" s="1"/>
  <c r="O10" i="1"/>
  <c r="S10" i="1" s="1"/>
  <c r="U3" i="1" l="1"/>
  <c r="T3" i="1"/>
  <c r="U10" i="1"/>
  <c r="T10" i="1"/>
  <c r="T4" i="1"/>
  <c r="U4" i="1"/>
  <c r="P4" i="1"/>
  <c r="Q4" i="1" s="1"/>
  <c r="R10" i="1"/>
  <c r="M11" i="1"/>
  <c r="M16" i="1" s="1"/>
  <c r="P10" i="1"/>
  <c r="S3" i="1"/>
  <c r="R4" i="1"/>
  <c r="S4" i="1"/>
  <c r="B2" i="1"/>
  <c r="C2" i="1"/>
  <c r="D2" i="1"/>
  <c r="F2" i="1"/>
  <c r="G2" i="1"/>
  <c r="H2" i="1"/>
  <c r="I2" i="1"/>
  <c r="J2" i="1"/>
  <c r="K2" i="1"/>
  <c r="L2" i="1"/>
  <c r="M2" i="1"/>
  <c r="P2" i="1"/>
  <c r="Q2" i="1"/>
  <c r="R2" i="1"/>
  <c r="S2" i="1"/>
  <c r="V2" i="1"/>
  <c r="W2" i="1"/>
  <c r="X2" i="1"/>
  <c r="AA2" i="1"/>
  <c r="E16" i="1"/>
  <c r="N11" i="1"/>
  <c r="N16" i="1" s="1"/>
  <c r="W11" i="1"/>
  <c r="W16" i="1" s="1"/>
  <c r="O11" i="1"/>
  <c r="O16" i="1" s="1"/>
  <c r="V11" i="1"/>
  <c r="V16" i="1" s="1"/>
  <c r="P3" i="1"/>
  <c r="T11" i="1" l="1"/>
  <c r="T16" i="1" s="1"/>
  <c r="U11" i="1"/>
  <c r="U16" i="1" s="1"/>
  <c r="R11" i="1"/>
  <c r="R16" i="1" s="1"/>
  <c r="X4" i="1"/>
  <c r="AA4" i="1" s="1"/>
  <c r="S11" i="1"/>
  <c r="S16" i="1" s="1"/>
  <c r="Q10" i="1"/>
  <c r="X10" i="1" s="1"/>
  <c r="AA10" i="1" s="1"/>
  <c r="P11" i="1"/>
  <c r="P16" i="1" s="1"/>
  <c r="Q3" i="1"/>
  <c r="X3" i="1" s="1"/>
  <c r="AA3" i="1" s="1"/>
  <c r="AA11" i="1" s="1"/>
  <c r="X11" i="1" l="1"/>
  <c r="X16" i="1" s="1"/>
  <c r="Q11" i="1"/>
  <c r="Q16" i="1" s="1"/>
</calcChain>
</file>

<file path=xl/comments1.xml><?xml version="1.0" encoding="utf-8"?>
<comments xmlns="http://schemas.openxmlformats.org/spreadsheetml/2006/main">
  <authors>
    <author>AMLA-CAMEROUN</author>
  </authors>
  <commentList>
    <comment ref="P2" authorId="0" shapeId="0">
      <text>
        <r>
          <rPr>
            <b/>
            <sz val="9"/>
            <color indexed="81"/>
            <rFont val="Tahoma"/>
            <family val="2"/>
          </rPr>
          <t>AMLA-CAMEROUN:</t>
        </r>
        <r>
          <rPr>
            <sz val="9"/>
            <color indexed="81"/>
            <rFont val="Tahoma"/>
            <family val="2"/>
          </rPr>
          <t xml:space="preserve">
IMPOTS
</t>
        </r>
      </text>
    </comment>
    <comment ref="Q2" authorId="0" shapeId="0">
      <text>
        <r>
          <rPr>
            <b/>
            <sz val="9"/>
            <color indexed="81"/>
            <rFont val="Tahoma"/>
            <family val="2"/>
          </rPr>
          <t>AMLA-CAMEROUN:</t>
        </r>
        <r>
          <rPr>
            <sz val="9"/>
            <color indexed="81"/>
            <rFont val="Tahoma"/>
            <family val="2"/>
          </rPr>
          <t xml:space="preserve">
CAC IMPOT</t>
        </r>
      </text>
    </comment>
    <comment ref="R2" authorId="0" shapeId="0">
      <text>
        <r>
          <rPr>
            <b/>
            <sz val="9"/>
            <color indexed="81"/>
            <rFont val="Tahoma"/>
            <family val="2"/>
          </rPr>
          <t>AMLA-CAMEROUN:</t>
        </r>
        <r>
          <rPr>
            <sz val="9"/>
            <color indexed="81"/>
            <rFont val="Tahoma"/>
            <family val="2"/>
          </rPr>
          <t xml:space="preserve">
IMPOTS
</t>
        </r>
      </text>
    </comment>
    <comment ref="S2" authorId="0" shapeId="0">
      <text>
        <r>
          <rPr>
            <b/>
            <sz val="9"/>
            <color indexed="81"/>
            <rFont val="Tahoma"/>
            <family val="2"/>
          </rPr>
          <t>AMLA-CAMEROUN:</t>
        </r>
        <r>
          <rPr>
            <sz val="9"/>
            <color indexed="81"/>
            <rFont val="Tahoma"/>
            <family val="2"/>
          </rPr>
          <t xml:space="preserve">
IMPOT
</t>
        </r>
      </text>
    </comment>
    <comment ref="T2" authorId="0" shapeId="0">
      <text>
        <r>
          <rPr>
            <b/>
            <sz val="9"/>
            <color indexed="81"/>
            <rFont val="Tahoma"/>
            <family val="2"/>
          </rPr>
          <t>AMLA-CAMEROUN:</t>
        </r>
        <r>
          <rPr>
            <sz val="9"/>
            <color indexed="81"/>
            <rFont val="Tahoma"/>
            <family val="2"/>
          </rPr>
          <t xml:space="preserve">
IMPOTS
</t>
        </r>
      </text>
    </comment>
    <comment ref="U2" authorId="0" shapeId="0">
      <text>
        <r>
          <rPr>
            <b/>
            <sz val="9"/>
            <color indexed="81"/>
            <rFont val="Tahoma"/>
            <family val="2"/>
          </rPr>
          <t>AMLA-CAMEROUN:</t>
        </r>
        <r>
          <rPr>
            <sz val="9"/>
            <color indexed="81"/>
            <rFont val="Tahoma"/>
            <family val="2"/>
          </rPr>
          <t xml:space="preserve">
IMPOTS</t>
        </r>
      </text>
    </comment>
    <comment ref="V2" authorId="0" shapeId="0">
      <text>
        <r>
          <rPr>
            <b/>
            <sz val="9"/>
            <color indexed="81"/>
            <rFont val="Tahoma"/>
            <family val="2"/>
          </rPr>
          <t>AMLA-CAMEROUN:</t>
        </r>
        <r>
          <rPr>
            <sz val="9"/>
            <color indexed="81"/>
            <rFont val="Tahoma"/>
            <family val="2"/>
          </rPr>
          <t xml:space="preserve">
IMPOTS</t>
        </r>
      </text>
    </comment>
  </commentList>
</comments>
</file>

<file path=xl/sharedStrings.xml><?xml version="1.0" encoding="utf-8"?>
<sst xmlns="http://schemas.openxmlformats.org/spreadsheetml/2006/main" count="12" uniqueCount="11">
  <si>
    <t>CLE CNPS</t>
  </si>
  <si>
    <t>BASE COTISABLE</t>
  </si>
  <si>
    <t>BASE TAXABLE IRPP</t>
  </si>
  <si>
    <t>TOTAL DES PERSONNELS DECLARES</t>
  </si>
  <si>
    <t xml:space="preserve"> </t>
  </si>
  <si>
    <t xml:space="preserve">  </t>
  </si>
  <si>
    <t>CFCP</t>
  </si>
  <si>
    <t>FNE</t>
  </si>
  <si>
    <t>PRIMES</t>
  </si>
  <si>
    <t>RETENUES CREDIT SCOLAIRE</t>
  </si>
  <si>
    <t xml:space="preserve">ETAT PAIE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</si>
</sst>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5">
    <xf numFmtId="0" fontId="0" fillId="0" borderId="0" xfId="0"/>
    <xf numFmtId="0" fontId="0" fillId="0" borderId="10" xfId="0" applyBorder="1"/>
    <xf numFmtId="164" fontId="0" fillId="0" borderId="10" xfId="1" applyNumberFormat="1" applyFont="1" applyBorder="1"/>
    <xf numFmtId="43" fontId="16" fillId="0" borderId="10" xfId="1" applyFont="1" applyBorder="1" applyAlignment="1">
      <alignment horizontal="center" vertical="center" wrapText="1"/>
    </xf>
    <xf numFmtId="164" fontId="16" fillId="0" borderId="10" xfId="1" applyNumberFormat="1" applyFont="1" applyBorder="1" applyAlignment="1">
      <alignment horizontal="center" vertical="center" wrapText="1"/>
    </xf>
    <xf numFmtId="0" fontId="18" fillId="0" borderId="10" xfId="0" applyFont="1" applyBorder="1"/>
    <xf numFmtId="164" fontId="18" fillId="0" borderId="10" xfId="1" applyNumberFormat="1" applyFont="1" applyBorder="1"/>
    <xf numFmtId="164" fontId="0" fillId="33" borderId="10" xfId="1" applyNumberFormat="1" applyFont="1" applyFill="1" applyBorder="1"/>
    <xf numFmtId="164" fontId="16" fillId="33" borderId="10" xfId="1" applyNumberFormat="1" applyFont="1" applyFill="1" applyBorder="1" applyAlignment="1">
      <alignment horizontal="center" vertical="center" wrapText="1"/>
    </xf>
    <xf numFmtId="164" fontId="0" fillId="0" borderId="13" xfId="1" applyNumberFormat="1" applyFont="1" applyBorder="1"/>
    <xf numFmtId="164" fontId="16" fillId="34" borderId="15" xfId="1" applyNumberFormat="1" applyFont="1" applyFill="1" applyBorder="1"/>
    <xf numFmtId="0" fontId="16" fillId="34" borderId="14" xfId="0" applyFont="1" applyFill="1" applyBorder="1"/>
    <xf numFmtId="0" fontId="16" fillId="34" borderId="15" xfId="0" applyFont="1" applyFill="1" applyBorder="1"/>
    <xf numFmtId="164" fontId="0" fillId="35" borderId="10" xfId="1" applyNumberFormat="1" applyFont="1" applyFill="1" applyBorder="1"/>
    <xf numFmtId="164" fontId="0" fillId="0" borderId="0" xfId="0" applyNumberFormat="1"/>
    <xf numFmtId="164" fontId="1" fillId="0" borderId="10" xfId="1" applyNumberFormat="1" applyFont="1" applyBorder="1"/>
    <xf numFmtId="3" fontId="20" fillId="0" borderId="0" xfId="0" applyNumberFormat="1" applyFont="1"/>
    <xf numFmtId="164" fontId="21" fillId="0" borderId="0" xfId="0" applyNumberFormat="1" applyFont="1"/>
    <xf numFmtId="164" fontId="0" fillId="0" borderId="0" xfId="1" applyNumberFormat="1" applyFont="1"/>
    <xf numFmtId="3" fontId="23" fillId="0" borderId="0" xfId="0" applyNumberFormat="1" applyFont="1"/>
    <xf numFmtId="164" fontId="14" fillId="0" borderId="10" xfId="1" applyNumberFormat="1" applyFont="1" applyBorder="1"/>
    <xf numFmtId="164" fontId="22" fillId="0" borderId="0" xfId="0" applyNumberFormat="1" applyFont="1"/>
    <xf numFmtId="3" fontId="24" fillId="0" borderId="0" xfId="0" applyNumberFormat="1" applyFont="1"/>
    <xf numFmtId="3" fontId="0" fillId="0" borderId="0" xfId="0" applyNumberFormat="1"/>
    <xf numFmtId="0" fontId="0" fillId="0" borderId="10" xfId="0" applyFont="1" applyBorder="1"/>
    <xf numFmtId="164" fontId="1" fillId="33" borderId="12" xfId="1" applyNumberFormat="1" applyFont="1" applyFill="1" applyBorder="1"/>
    <xf numFmtId="164" fontId="1" fillId="35" borderId="10" xfId="1" applyNumberFormat="1" applyFont="1" applyFill="1" applyBorder="1"/>
    <xf numFmtId="164" fontId="25" fillId="0" borderId="10" xfId="1" applyNumberFormat="1" applyFon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164" fontId="25" fillId="0" borderId="10" xfId="0" applyNumberFormat="1" applyFont="1" applyBorder="1" applyAlignment="1">
      <alignment vertical="center"/>
    </xf>
    <xf numFmtId="0" fontId="25" fillId="0" borderId="10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164" fontId="16" fillId="34" borderId="10" xfId="1" applyNumberFormat="1" applyFont="1" applyFill="1" applyBorder="1"/>
    <xf numFmtId="0" fontId="16" fillId="0" borderId="10" xfId="0" applyFont="1" applyBorder="1" applyAlignment="1">
      <alignment vertical="center"/>
    </xf>
    <xf numFmtId="164" fontId="16" fillId="0" borderId="10" xfId="0" applyNumberFormat="1" applyFont="1" applyBorder="1" applyAlignment="1">
      <alignment vertical="center"/>
    </xf>
    <xf numFmtId="164" fontId="28" fillId="0" borderId="0" xfId="0" applyNumberFormat="1" applyFont="1"/>
    <xf numFmtId="0" fontId="0" fillId="0" borderId="10" xfId="0" applyFont="1" applyBorder="1" applyAlignment="1">
      <alignment horizontal="left"/>
    </xf>
    <xf numFmtId="0" fontId="22" fillId="0" borderId="10" xfId="0" applyFont="1" applyBorder="1"/>
    <xf numFmtId="0" fontId="22" fillId="0" borderId="10" xfId="0" applyFont="1" applyBorder="1" applyAlignment="1">
      <alignment horizontal="left"/>
    </xf>
    <xf numFmtId="164" fontId="22" fillId="0" borderId="10" xfId="1" applyNumberFormat="1" applyFont="1" applyBorder="1"/>
    <xf numFmtId="164" fontId="22" fillId="33" borderId="10" xfId="1" applyNumberFormat="1" applyFont="1" applyFill="1" applyBorder="1"/>
    <xf numFmtId="0" fontId="22" fillId="0" borderId="10" xfId="0" applyFont="1" applyBorder="1" applyAlignment="1">
      <alignment vertical="center"/>
    </xf>
    <xf numFmtId="0" fontId="23" fillId="0" borderId="10" xfId="0" applyFont="1" applyBorder="1" applyAlignment="1">
      <alignment vertical="center"/>
    </xf>
    <xf numFmtId="164" fontId="23" fillId="0" borderId="10" xfId="0" applyNumberFormat="1" applyFont="1" applyBorder="1" applyAlignment="1">
      <alignment vertical="center"/>
    </xf>
    <xf numFmtId="164" fontId="22" fillId="35" borderId="10" xfId="1" applyNumberFormat="1" applyFont="1" applyFill="1" applyBorder="1"/>
    <xf numFmtId="0" fontId="22" fillId="0" borderId="0" xfId="0" applyFont="1"/>
    <xf numFmtId="164" fontId="22" fillId="0" borderId="0" xfId="1" applyNumberFormat="1" applyFont="1"/>
    <xf numFmtId="0" fontId="14" fillId="0" borderId="10" xfId="0" applyFont="1" applyBorder="1"/>
    <xf numFmtId="0" fontId="14" fillId="0" borderId="10" xfId="0" applyFont="1" applyBorder="1" applyAlignment="1">
      <alignment horizontal="left"/>
    </xf>
    <xf numFmtId="164" fontId="14" fillId="33" borderId="10" xfId="1" applyNumberFormat="1" applyFont="1" applyFill="1" applyBorder="1"/>
    <xf numFmtId="0" fontId="14" fillId="0" borderId="10" xfId="0" applyFont="1" applyBorder="1" applyAlignment="1">
      <alignment vertical="center"/>
    </xf>
    <xf numFmtId="0" fontId="14" fillId="0" borderId="0" xfId="0" applyFont="1"/>
    <xf numFmtId="164" fontId="14" fillId="0" borderId="0" xfId="0" applyNumberFormat="1" applyFont="1"/>
    <xf numFmtId="164" fontId="14" fillId="0" borderId="0" xfId="1" applyNumberFormat="1" applyFont="1"/>
    <xf numFmtId="0" fontId="19" fillId="0" borderId="11" xfId="0" applyFont="1" applyBorder="1" applyAlignment="1">
      <alignment horizontal="center"/>
    </xf>
  </cellXfs>
  <cellStyles count="43">
    <cellStyle name="20 % - Accent1" xfId="20" builtinId="30" customBuiltin="1"/>
    <cellStyle name="20 % - Accent2" xfId="24" builtinId="34" customBuiltin="1"/>
    <cellStyle name="20 % - Accent3" xfId="28" builtinId="38" customBuiltin="1"/>
    <cellStyle name="20 % - Accent4" xfId="32" builtinId="42" customBuiltin="1"/>
    <cellStyle name="20 % - Accent5" xfId="36" builtinId="46" customBuiltin="1"/>
    <cellStyle name="20 % - Accent6" xfId="40" builtinId="50" customBuiltin="1"/>
    <cellStyle name="40 % - Accent1" xfId="21" builtinId="31" customBuiltin="1"/>
    <cellStyle name="40 % - Accent2" xfId="25" builtinId="35" customBuiltin="1"/>
    <cellStyle name="40 % - Accent3" xfId="29" builtinId="39" customBuiltin="1"/>
    <cellStyle name="40 % - Accent4" xfId="33" builtinId="43" customBuiltin="1"/>
    <cellStyle name="40 % - Accent5" xfId="37" builtinId="47" customBuiltin="1"/>
    <cellStyle name="40 % - Accent6" xfId="41" builtinId="51" customBuiltin="1"/>
    <cellStyle name="60 % - Accent1" xfId="22" builtinId="32" customBuiltin="1"/>
    <cellStyle name="60 % - Accent2" xfId="26" builtinId="36" customBuiltin="1"/>
    <cellStyle name="60 % - Accent3" xfId="30" builtinId="40" customBuiltin="1"/>
    <cellStyle name="60 % - Accent4" xfId="34" builtinId="44" customBuiltin="1"/>
    <cellStyle name="60 % - Accent5" xfId="38" builtinId="48" customBuiltin="1"/>
    <cellStyle name="60 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Commentaire" xfId="16" builtinId="10" customBuiltin="1"/>
    <cellStyle name="Entrée" xfId="10" builtinId="20" customBuiltin="1"/>
    <cellStyle name="Insatisfaisant" xfId="8" builtinId="27" customBuiltin="1"/>
    <cellStyle name="Milliers" xfId="1" builtinId="3"/>
    <cellStyle name="Neutre" xfId="9" builtinId="28" customBuiltin="1"/>
    <cellStyle name="Normal" xfId="0" builtinId="0"/>
    <cellStyle name="Satisfaisant" xfId="7" builtinId="26" customBuiltin="1"/>
    <cellStyle name="Sortie" xfId="11" builtinId="21" customBuiltin="1"/>
    <cellStyle name="Texte explicatif" xfId="17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8" builtinId="25" customBuiltin="1"/>
    <cellStyle name="Vérification" xfId="1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25"/>
  <sheetViews>
    <sheetView tabSelected="1" zoomScale="101" zoomScaleNormal="101" workbookViewId="0">
      <pane xSplit="3" ySplit="1" topLeftCell="J2" activePane="bottomRight" state="frozen"/>
      <selection pane="topRight" activeCell="D1" sqref="D1"/>
      <selection pane="bottomLeft" activeCell="A2" sqref="A2"/>
      <selection pane="bottomRight" activeCell="C2" sqref="C2"/>
    </sheetView>
  </sheetViews>
  <sheetFormatPr baseColWidth="10" defaultRowHeight="15" x14ac:dyDescent="0.25"/>
  <cols>
    <col min="1" max="1" width="9.85546875" customWidth="1"/>
    <col min="2" max="2" width="30.7109375" customWidth="1"/>
    <col min="3" max="3" width="20" customWidth="1"/>
    <col min="4" max="4" width="17.5703125" customWidth="1"/>
    <col min="5" max="5" width="5.7109375" customWidth="1"/>
    <col min="6" max="6" width="16.140625" customWidth="1"/>
    <col min="7" max="7" width="11.42578125" bestFit="1" customWidth="1"/>
    <col min="8" max="8" width="12.85546875" bestFit="1" customWidth="1"/>
    <col min="9" max="9" width="12.28515625" bestFit="1" customWidth="1"/>
    <col min="10" max="11" width="13.28515625" bestFit="1" customWidth="1"/>
    <col min="12" max="12" width="11.7109375" bestFit="1" customWidth="1"/>
    <col min="13" max="13" width="13.85546875" bestFit="1" customWidth="1"/>
    <col min="14" max="15" width="13.85546875" customWidth="1"/>
    <col min="16" max="16" width="12.42578125" customWidth="1"/>
    <col min="17" max="17" width="11" customWidth="1"/>
    <col min="18" max="19" width="10.42578125" bestFit="1" customWidth="1"/>
    <col min="20" max="20" width="10.42578125" customWidth="1"/>
    <col min="21" max="21" width="12.140625" customWidth="1"/>
    <col min="22" max="22" width="10.42578125" customWidth="1"/>
    <col min="23" max="23" width="10.42578125" bestFit="1" customWidth="1"/>
    <col min="24" max="24" width="13" bestFit="1" customWidth="1"/>
    <col min="25" max="26" width="14" customWidth="1"/>
    <col min="27" max="27" width="13.28515625" bestFit="1" customWidth="1"/>
    <col min="28" max="28" width="8.5703125" customWidth="1"/>
    <col min="29" max="29" width="19.7109375" customWidth="1"/>
    <col min="30" max="30" width="12.42578125" bestFit="1" customWidth="1"/>
    <col min="31" max="31" width="13.85546875" bestFit="1" customWidth="1"/>
  </cols>
  <sheetData>
    <row r="1" spans="1:31" ht="18.75" x14ac:dyDescent="0.3">
      <c r="A1" s="54" t="s">
        <v>10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</row>
    <row r="2" spans="1:31" ht="60" x14ac:dyDescent="0.25">
      <c r="A2" s="3" t="str">
        <f>"CODE INTERNE"</f>
        <v>CODE INTERNE</v>
      </c>
      <c r="B2" s="3" t="str">
        <f>"Nom"</f>
        <v>Nom</v>
      </c>
      <c r="C2" s="3" t="str">
        <f>"Prénom"</f>
        <v>Prénom</v>
      </c>
      <c r="D2" s="3" t="str">
        <f>"N  CNPS"</f>
        <v>N  CNPS</v>
      </c>
      <c r="E2" s="3" t="s">
        <v>0</v>
      </c>
      <c r="F2" s="4" t="str">
        <f>"SALAIRE DE BASE"</f>
        <v>SALAIRE DE BASE</v>
      </c>
      <c r="G2" s="4" t="str">
        <f>"SALAIRE DE PRESENCE"</f>
        <v>SALAIRE DE PRESENCE</v>
      </c>
      <c r="H2" s="4" t="str">
        <f>"ANCIENNETE"</f>
        <v>ANCIENNETE</v>
      </c>
      <c r="I2" s="4" t="str">
        <f>"INDEMNITE DE REPRESENTATION"</f>
        <v>INDEMNITE DE REPRESENTATION</v>
      </c>
      <c r="J2" s="4" t="str">
        <f>"INDEMNITE DE LOGEMENT"</f>
        <v>INDEMNITE DE LOGEMENT</v>
      </c>
      <c r="K2" s="4" t="str">
        <f>"INDEMNITE DE TRANSPORT"</f>
        <v>INDEMNITE DE TRANSPORT</v>
      </c>
      <c r="L2" s="4" t="str">
        <f>"INDEMNITE DE SALISURE"</f>
        <v>INDEMNITE DE SALISURE</v>
      </c>
      <c r="M2" s="4" t="str">
        <f>"SALAIRE BRUT"</f>
        <v>SALAIRE BRUT</v>
      </c>
      <c r="N2" s="8" t="s">
        <v>1</v>
      </c>
      <c r="O2" s="8" t="s">
        <v>2</v>
      </c>
      <c r="P2" s="4" t="str">
        <f>"IRRP"</f>
        <v>IRRP</v>
      </c>
      <c r="Q2" s="4" t="str">
        <f>"CAC"</f>
        <v>CAC</v>
      </c>
      <c r="R2" s="4" t="str">
        <f>"CFCS"</f>
        <v>CFCS</v>
      </c>
      <c r="S2" s="4" t="str">
        <f>"RAV"</f>
        <v>RAV</v>
      </c>
      <c r="T2" s="27" t="s">
        <v>6</v>
      </c>
      <c r="U2" s="27" t="s">
        <v>7</v>
      </c>
      <c r="V2" s="4" t="str">
        <f>"TDL"</f>
        <v>TDL</v>
      </c>
      <c r="W2" s="4" t="str">
        <f>"PVID SAL"</f>
        <v>PVID SAL</v>
      </c>
      <c r="X2" s="4" t="str">
        <f>"TOTAL RETENUE SALARIALE"</f>
        <v>TOTAL RETENUE SALARIALE</v>
      </c>
      <c r="Y2" s="4" t="s">
        <v>9</v>
      </c>
      <c r="Z2" s="4" t="s">
        <v>8</v>
      </c>
      <c r="AA2" s="4" t="str">
        <f>"NET A PAYER"</f>
        <v>NET A PAYER</v>
      </c>
    </row>
    <row r="3" spans="1:31" x14ac:dyDescent="0.25">
      <c r="A3" s="1"/>
      <c r="B3" s="1"/>
      <c r="C3" s="1"/>
      <c r="D3" s="1"/>
      <c r="E3" s="1"/>
      <c r="F3" s="2">
        <v>600000</v>
      </c>
      <c r="G3" s="2">
        <v>0</v>
      </c>
      <c r="H3" s="2">
        <v>40000</v>
      </c>
      <c r="I3" s="2">
        <v>191404</v>
      </c>
      <c r="J3" s="2">
        <v>100000</v>
      </c>
      <c r="K3" s="2">
        <v>104200</v>
      </c>
      <c r="L3" s="2">
        <v>0</v>
      </c>
      <c r="M3" s="2">
        <f>SUM(F3:L3)</f>
        <v>1035604</v>
      </c>
      <c r="N3" s="7">
        <f>IF((F3+G3+H3+J3)&lt;300000,(F3+G3+H3+J3),300000)</f>
        <v>300000</v>
      </c>
      <c r="O3" s="7">
        <f>IF(((F3+G3+H3)*15%)&lt;J3,(F3+G3+H3)+((F3+G3+H3)*15%),(F3+G3+H3)+J3)</f>
        <v>736000</v>
      </c>
      <c r="P3" s="2">
        <f>IF((O3*12*0.7-500000-(N3*2.8%*12))&lt;=0,0,((O3*12*0.7-500000-(N3*2.8%*12))*10%)/12)</f>
        <v>46513.333333333336</v>
      </c>
      <c r="Q3" s="2">
        <f>+P3*10%</f>
        <v>4651.3333333333339</v>
      </c>
      <c r="R3" s="2">
        <f>IF(O3&lt;52000,0,O3*1%)</f>
        <v>7360</v>
      </c>
      <c r="S3" s="28">
        <f>IF(O3&lt;=50000,0,IF(O3&lt;=100000,750,IF(O3&lt;=200000,1950,IF(O3&lt;=300000,3250,IF(O3&lt;=400000,4550,IF(O3&lt;=500000,5850,IF(O3&lt;=600000,7150,IF(O3&lt;=700000,8450,IF(O3&lt;=800000,9750,IF(O3&lt;=900000,11050,IF(O3&lt;=1000000,12350,13000)))))))))))</f>
        <v>9750</v>
      </c>
      <c r="T3" s="29">
        <f>M3*1.5/100</f>
        <v>15534.06</v>
      </c>
      <c r="U3" s="29">
        <f>M3*1/100</f>
        <v>10356.040000000001</v>
      </c>
      <c r="V3" s="2">
        <f t="shared" ref="V3:V10" si="0">IF(F3&lt;=62000,0,IF(F3&lt;=75000,3000/12,IF(F3&lt;=100000,6000/12,IF(F3&lt;=125000,9000/12,IF(F3&lt;=150000,12000/12,IF(F3&lt;=200000,15000/12,IF(F3&lt;=250000,18000/12,IF(F3&lt;=300000,24000/12,IF(F3&lt;=500000,27000/12,30000/12)))))))))</f>
        <v>2500</v>
      </c>
      <c r="W3" s="2">
        <f>+N3*4.2%</f>
        <v>12600</v>
      </c>
      <c r="X3" s="2">
        <f t="shared" ref="X3:X10" si="1">SUM(P3:W3)</f>
        <v>109264.76666666666</v>
      </c>
      <c r="Y3" s="2"/>
      <c r="Z3" s="2"/>
      <c r="AA3" s="13">
        <f t="shared" ref="AA3:AA10" si="2">+M3-X3-Y3+Z3</f>
        <v>926339.2333333334</v>
      </c>
      <c r="AC3" s="14"/>
    </row>
    <row r="4" spans="1:31" x14ac:dyDescent="0.25">
      <c r="A4" s="1"/>
      <c r="B4" s="1"/>
      <c r="C4" s="1"/>
      <c r="D4" s="1"/>
      <c r="E4" s="1"/>
      <c r="F4" s="2">
        <v>200000</v>
      </c>
      <c r="G4" s="2">
        <v>0</v>
      </c>
      <c r="H4" s="2">
        <v>16000</v>
      </c>
      <c r="I4" s="2">
        <v>83756</v>
      </c>
      <c r="J4" s="2">
        <v>75000</v>
      </c>
      <c r="K4" s="2">
        <v>91543</v>
      </c>
      <c r="L4" s="2">
        <v>0</v>
      </c>
      <c r="M4" s="2">
        <f t="shared" ref="M4:M10" si="3">SUM(F4:L4)</f>
        <v>466299</v>
      </c>
      <c r="N4" s="7">
        <f t="shared" ref="N4:N10" si="4">IF((F4+G4+H4+J4)&lt;300000,(F4+G4+H4+J4),300000)</f>
        <v>291000</v>
      </c>
      <c r="O4" s="7">
        <f t="shared" ref="O4:O10" si="5">IF(((F4+G4+H4)*15%)&lt;J4,(F4+G4+H4)+((F4+G4+H4)*15%),(F4+G4+H4)+J4)</f>
        <v>248400</v>
      </c>
      <c r="P4" s="2">
        <f t="shared" ref="P4:P10" si="6">IF((O4*12*0.7-500000-(N4*2.8%*12))&lt;=0,0,((O4*12*0.7-500000-(N4*2.8%*12))*10%)/12)</f>
        <v>12406.533333333333</v>
      </c>
      <c r="Q4" s="2">
        <f t="shared" ref="Q4:Q10" si="7">+P4*10%</f>
        <v>1240.6533333333334</v>
      </c>
      <c r="R4" s="2">
        <f t="shared" ref="R4:R10" si="8">IF(O4&lt;52000,0,O4*1%)</f>
        <v>2484</v>
      </c>
      <c r="S4" s="28">
        <f t="shared" ref="S4:S10" si="9">IF(O4&lt;=50000,0,IF(O4&lt;=100000,750,IF(O4&lt;=200000,1950,IF(O4&lt;=300000,3250,IF(O4&lt;=400000,4550,IF(O4&lt;=500000,5850,IF(O4&lt;=600000,7150,IF(O4&lt;=700000,8450,IF(O4&lt;=800000,9750,IF(O4&lt;=900000,11050,IF(O4&lt;=1000000,12350,13000)))))))))))</f>
        <v>3250</v>
      </c>
      <c r="T4" s="30">
        <f t="shared" ref="T4:T10" si="10">M4*1.5/100</f>
        <v>6994.4849999999997</v>
      </c>
      <c r="U4" s="29">
        <f t="shared" ref="U4:U10" si="11">M4*1/100</f>
        <v>4662.99</v>
      </c>
      <c r="V4" s="2">
        <f t="shared" si="0"/>
        <v>1250</v>
      </c>
      <c r="W4" s="2">
        <f t="shared" ref="W4:W10" si="12">+N4*4.2%</f>
        <v>12222</v>
      </c>
      <c r="X4" s="2">
        <f t="shared" si="1"/>
        <v>44510.661666666667</v>
      </c>
      <c r="Y4" s="2"/>
      <c r="Z4" s="20"/>
      <c r="AA4" s="13">
        <f t="shared" si="2"/>
        <v>421788.33833333332</v>
      </c>
      <c r="AC4" s="14"/>
      <c r="AD4" s="17"/>
      <c r="AE4" s="18"/>
    </row>
    <row r="5" spans="1:31" x14ac:dyDescent="0.25">
      <c r="A5" s="1"/>
      <c r="B5" s="24"/>
      <c r="C5" s="24"/>
      <c r="D5" s="24"/>
      <c r="E5" s="24"/>
      <c r="F5" s="2">
        <v>150000</v>
      </c>
      <c r="G5" s="2">
        <v>0</v>
      </c>
      <c r="H5" s="2">
        <v>0</v>
      </c>
      <c r="I5" s="2">
        <v>0</v>
      </c>
      <c r="J5" s="2">
        <v>30000</v>
      </c>
      <c r="K5" s="2">
        <v>71602</v>
      </c>
      <c r="L5" s="2">
        <v>0</v>
      </c>
      <c r="M5" s="2">
        <f t="shared" si="3"/>
        <v>251602</v>
      </c>
      <c r="N5" s="7">
        <f t="shared" si="4"/>
        <v>180000</v>
      </c>
      <c r="O5" s="7">
        <f t="shared" si="5"/>
        <v>172500</v>
      </c>
      <c r="P5" s="2">
        <f t="shared" si="6"/>
        <v>7404.333333333333</v>
      </c>
      <c r="Q5" s="2">
        <f t="shared" si="7"/>
        <v>740.43333333333339</v>
      </c>
      <c r="R5" s="2">
        <f t="shared" si="8"/>
        <v>1725</v>
      </c>
      <c r="S5" s="31">
        <f t="shared" si="9"/>
        <v>1950</v>
      </c>
      <c r="T5" s="33">
        <f t="shared" si="10"/>
        <v>3774.03</v>
      </c>
      <c r="U5" s="34">
        <f t="shared" si="11"/>
        <v>2516.02</v>
      </c>
      <c r="V5" s="2">
        <f t="shared" si="0"/>
        <v>1000</v>
      </c>
      <c r="W5" s="2">
        <f t="shared" si="12"/>
        <v>7560.0000000000009</v>
      </c>
      <c r="X5" s="2">
        <f t="shared" si="1"/>
        <v>26669.816666666666</v>
      </c>
      <c r="Y5" s="2"/>
      <c r="Z5" s="2"/>
      <c r="AA5" s="13">
        <f t="shared" si="2"/>
        <v>224932.18333333335</v>
      </c>
      <c r="AC5" s="14"/>
      <c r="AD5" s="17"/>
      <c r="AE5" s="18"/>
    </row>
    <row r="6" spans="1:31" ht="15" customHeight="1" x14ac:dyDescent="0.25">
      <c r="A6" s="1"/>
      <c r="B6" s="24"/>
      <c r="C6" s="24"/>
      <c r="D6" s="38"/>
      <c r="E6" s="24"/>
      <c r="F6" s="2">
        <v>450000</v>
      </c>
      <c r="G6" s="2">
        <v>0</v>
      </c>
      <c r="H6" s="2">
        <v>0</v>
      </c>
      <c r="I6" s="2">
        <v>0</v>
      </c>
      <c r="J6" s="2">
        <v>30000</v>
      </c>
      <c r="K6" s="2">
        <v>71602</v>
      </c>
      <c r="L6" s="2">
        <v>0</v>
      </c>
      <c r="M6" s="2">
        <f t="shared" si="3"/>
        <v>551602</v>
      </c>
      <c r="N6" s="7">
        <f t="shared" si="4"/>
        <v>300000</v>
      </c>
      <c r="O6" s="7">
        <f t="shared" si="5"/>
        <v>480000</v>
      </c>
      <c r="P6" s="2">
        <f t="shared" si="6"/>
        <v>28593.333333333332</v>
      </c>
      <c r="Q6" s="2">
        <f t="shared" si="7"/>
        <v>2859.3333333333335</v>
      </c>
      <c r="R6" s="2">
        <f t="shared" si="8"/>
        <v>4800</v>
      </c>
      <c r="S6" s="31">
        <f t="shared" si="9"/>
        <v>5850</v>
      </c>
      <c r="T6" s="33">
        <f t="shared" si="10"/>
        <v>8274.0300000000007</v>
      </c>
      <c r="U6" s="34">
        <f t="shared" si="11"/>
        <v>5516.02</v>
      </c>
      <c r="V6" s="2">
        <f t="shared" si="0"/>
        <v>2250</v>
      </c>
      <c r="W6" s="2">
        <f t="shared" si="12"/>
        <v>12600</v>
      </c>
      <c r="X6" s="2">
        <f t="shared" si="1"/>
        <v>70742.71666666666</v>
      </c>
      <c r="Y6" s="2"/>
      <c r="Z6" s="2"/>
      <c r="AA6" s="13">
        <f>+M6-X6-Y6+Z6</f>
        <v>480859.28333333333</v>
      </c>
      <c r="AC6" s="14"/>
      <c r="AD6" s="17"/>
      <c r="AE6" s="18"/>
    </row>
    <row r="7" spans="1:31" x14ac:dyDescent="0.25">
      <c r="A7" s="1"/>
      <c r="B7" s="24"/>
      <c r="C7" s="24"/>
      <c r="D7" s="36"/>
      <c r="E7" s="24"/>
      <c r="F7" s="2">
        <v>450000</v>
      </c>
      <c r="G7" s="2"/>
      <c r="H7" s="2"/>
      <c r="I7" s="2"/>
      <c r="J7" s="2">
        <v>10000</v>
      </c>
      <c r="K7" s="2">
        <v>5000</v>
      </c>
      <c r="L7" s="2">
        <v>18975</v>
      </c>
      <c r="M7" s="2">
        <f t="shared" si="3"/>
        <v>483975</v>
      </c>
      <c r="N7" s="7">
        <f t="shared" si="4"/>
        <v>300000</v>
      </c>
      <c r="O7" s="7">
        <f t="shared" si="5"/>
        <v>460000</v>
      </c>
      <c r="P7" s="2">
        <f t="shared" si="6"/>
        <v>27193.333333333332</v>
      </c>
      <c r="Q7" s="2">
        <f t="shared" si="7"/>
        <v>2719.3333333333335</v>
      </c>
      <c r="R7" s="2">
        <f t="shared" si="8"/>
        <v>4600</v>
      </c>
      <c r="S7" s="31">
        <f t="shared" si="9"/>
        <v>5850</v>
      </c>
      <c r="T7" s="33">
        <f t="shared" si="10"/>
        <v>7259.625</v>
      </c>
      <c r="U7" s="34">
        <f t="shared" si="11"/>
        <v>4839.75</v>
      </c>
      <c r="V7" s="2">
        <f t="shared" si="0"/>
        <v>2250</v>
      </c>
      <c r="W7" s="2">
        <f t="shared" si="12"/>
        <v>12600</v>
      </c>
      <c r="X7" s="2">
        <f t="shared" si="1"/>
        <v>67312.041666666657</v>
      </c>
      <c r="Y7" s="2"/>
      <c r="Z7" s="2"/>
      <c r="AA7" s="13">
        <f t="shared" si="2"/>
        <v>416662.95833333337</v>
      </c>
      <c r="AC7" s="14" t="s">
        <v>4</v>
      </c>
      <c r="AD7" s="17"/>
      <c r="AE7" s="18"/>
    </row>
    <row r="8" spans="1:31" s="45" customFormat="1" ht="15" customHeight="1" x14ac:dyDescent="0.25">
      <c r="A8" s="37"/>
      <c r="B8" s="37"/>
      <c r="C8" s="37"/>
      <c r="D8" s="38"/>
      <c r="E8" s="37"/>
      <c r="F8" s="39">
        <v>400000</v>
      </c>
      <c r="G8" s="39"/>
      <c r="H8" s="39"/>
      <c r="I8" s="39"/>
      <c r="J8" s="39">
        <v>10000</v>
      </c>
      <c r="K8" s="39">
        <v>5000</v>
      </c>
      <c r="L8" s="39">
        <v>19000</v>
      </c>
      <c r="M8" s="39">
        <f t="shared" si="3"/>
        <v>434000</v>
      </c>
      <c r="N8" s="40">
        <f t="shared" si="4"/>
        <v>300000</v>
      </c>
      <c r="O8" s="40">
        <f t="shared" si="5"/>
        <v>410000</v>
      </c>
      <c r="P8" s="39">
        <f t="shared" si="6"/>
        <v>23693.333333333332</v>
      </c>
      <c r="Q8" s="39">
        <f t="shared" si="7"/>
        <v>2369.3333333333335</v>
      </c>
      <c r="R8" s="39">
        <f t="shared" si="8"/>
        <v>4100</v>
      </c>
      <c r="S8" s="41">
        <f t="shared" si="9"/>
        <v>5850</v>
      </c>
      <c r="T8" s="42">
        <f t="shared" si="10"/>
        <v>6510</v>
      </c>
      <c r="U8" s="43">
        <f t="shared" si="11"/>
        <v>4340</v>
      </c>
      <c r="V8" s="39">
        <f t="shared" si="0"/>
        <v>2250</v>
      </c>
      <c r="W8" s="39">
        <f t="shared" si="12"/>
        <v>12600</v>
      </c>
      <c r="X8" s="39">
        <f t="shared" si="1"/>
        <v>61712.666666666664</v>
      </c>
      <c r="Y8" s="39"/>
      <c r="Z8" s="39"/>
      <c r="AA8" s="44">
        <f t="shared" si="2"/>
        <v>372287.33333333331</v>
      </c>
      <c r="AC8" s="21"/>
      <c r="AD8" s="21"/>
      <c r="AE8" s="46"/>
    </row>
    <row r="9" spans="1:31" s="51" customFormat="1" x14ac:dyDescent="0.25">
      <c r="A9" s="24"/>
      <c r="B9" s="24"/>
      <c r="C9" s="24"/>
      <c r="D9" s="48"/>
      <c r="E9" s="47"/>
      <c r="F9" s="20">
        <v>300000</v>
      </c>
      <c r="G9" s="20"/>
      <c r="H9" s="20"/>
      <c r="I9" s="20"/>
      <c r="J9" s="20">
        <v>30000</v>
      </c>
      <c r="K9" s="20">
        <v>71602</v>
      </c>
      <c r="L9" s="20"/>
      <c r="M9" s="39">
        <f t="shared" si="3"/>
        <v>401602</v>
      </c>
      <c r="N9" s="49">
        <f t="shared" si="4"/>
        <v>300000</v>
      </c>
      <c r="O9" s="49">
        <f t="shared" si="5"/>
        <v>330000</v>
      </c>
      <c r="P9" s="20">
        <f t="shared" si="6"/>
        <v>18093.333333333332</v>
      </c>
      <c r="Q9" s="20">
        <f t="shared" si="7"/>
        <v>1809.3333333333333</v>
      </c>
      <c r="R9" s="20">
        <f t="shared" si="8"/>
        <v>3300</v>
      </c>
      <c r="S9" s="50">
        <f t="shared" si="9"/>
        <v>4550</v>
      </c>
      <c r="T9" s="42">
        <f t="shared" si="10"/>
        <v>6024.03</v>
      </c>
      <c r="U9" s="43">
        <f t="shared" si="11"/>
        <v>4016.02</v>
      </c>
      <c r="V9" s="20">
        <f t="shared" si="0"/>
        <v>2000</v>
      </c>
      <c r="W9" s="20">
        <f t="shared" si="12"/>
        <v>12600</v>
      </c>
      <c r="X9" s="39">
        <f t="shared" si="1"/>
        <v>52392.71666666666</v>
      </c>
      <c r="Y9" s="20"/>
      <c r="Z9" s="20"/>
      <c r="AA9" s="44">
        <f t="shared" si="2"/>
        <v>349209.28333333333</v>
      </c>
      <c r="AC9" s="52"/>
      <c r="AD9" s="52"/>
      <c r="AE9" s="53"/>
    </row>
    <row r="10" spans="1:31" s="45" customFormat="1" ht="15.75" customHeight="1" thickBot="1" x14ac:dyDescent="0.3">
      <c r="A10" s="37"/>
      <c r="B10" s="37"/>
      <c r="C10" s="37"/>
      <c r="D10" s="37"/>
      <c r="E10" s="37"/>
      <c r="F10" s="39">
        <v>300000</v>
      </c>
      <c r="G10" s="39">
        <v>0</v>
      </c>
      <c r="H10" s="39">
        <v>4000</v>
      </c>
      <c r="I10" s="39">
        <v>0</v>
      </c>
      <c r="J10" s="39">
        <v>70000</v>
      </c>
      <c r="K10" s="39">
        <v>87892</v>
      </c>
      <c r="L10" s="39">
        <v>0</v>
      </c>
      <c r="M10" s="39">
        <f t="shared" si="3"/>
        <v>461892</v>
      </c>
      <c r="N10" s="40">
        <f t="shared" si="4"/>
        <v>300000</v>
      </c>
      <c r="O10" s="40">
        <f t="shared" si="5"/>
        <v>349600</v>
      </c>
      <c r="P10" s="39">
        <f t="shared" si="6"/>
        <v>19465.333333333332</v>
      </c>
      <c r="Q10" s="39">
        <f t="shared" si="7"/>
        <v>1946.5333333333333</v>
      </c>
      <c r="R10" s="39">
        <f t="shared" si="8"/>
        <v>3496</v>
      </c>
      <c r="S10" s="41">
        <f t="shared" si="9"/>
        <v>4550</v>
      </c>
      <c r="T10" s="42">
        <f t="shared" si="10"/>
        <v>6928.38</v>
      </c>
      <c r="U10" s="43">
        <f t="shared" si="11"/>
        <v>4618.92</v>
      </c>
      <c r="V10" s="39">
        <f t="shared" si="0"/>
        <v>2000</v>
      </c>
      <c r="W10" s="39">
        <f t="shared" si="12"/>
        <v>12600</v>
      </c>
      <c r="X10" s="39">
        <f t="shared" si="1"/>
        <v>55605.166666666664</v>
      </c>
      <c r="Y10" s="39"/>
      <c r="Z10" s="39"/>
      <c r="AA10" s="44">
        <f t="shared" si="2"/>
        <v>406286.83333333331</v>
      </c>
      <c r="AC10" s="21"/>
      <c r="AD10" s="21"/>
      <c r="AE10" s="46"/>
    </row>
    <row r="11" spans="1:31" ht="17.25" customHeight="1" thickBot="1" x14ac:dyDescent="0.3">
      <c r="A11" s="11"/>
      <c r="B11" s="12" t="s">
        <v>3</v>
      </c>
      <c r="C11" s="12"/>
      <c r="D11" s="12"/>
      <c r="E11" s="12"/>
      <c r="F11" s="10">
        <f t="shared" ref="F11:Y11" si="13">SUM(F3:F10)</f>
        <v>2850000</v>
      </c>
      <c r="G11" s="10">
        <f t="shared" si="13"/>
        <v>0</v>
      </c>
      <c r="H11" s="10">
        <f t="shared" si="13"/>
        <v>60000</v>
      </c>
      <c r="I11" s="10">
        <f t="shared" si="13"/>
        <v>275160</v>
      </c>
      <c r="J11" s="10">
        <f t="shared" si="13"/>
        <v>355000</v>
      </c>
      <c r="K11" s="10">
        <f t="shared" si="13"/>
        <v>508441</v>
      </c>
      <c r="L11" s="10">
        <f t="shared" si="13"/>
        <v>37975</v>
      </c>
      <c r="M11" s="10">
        <f t="shared" si="13"/>
        <v>4086576</v>
      </c>
      <c r="N11" s="10">
        <f t="shared" si="13"/>
        <v>2271000</v>
      </c>
      <c r="O11" s="10">
        <f t="shared" si="13"/>
        <v>3186500</v>
      </c>
      <c r="P11" s="10">
        <f t="shared" si="13"/>
        <v>183362.86666666667</v>
      </c>
      <c r="Q11" s="10">
        <f t="shared" si="13"/>
        <v>18336.286666666667</v>
      </c>
      <c r="R11" s="10">
        <f t="shared" si="13"/>
        <v>31865</v>
      </c>
      <c r="S11" s="32">
        <f t="shared" si="13"/>
        <v>41600</v>
      </c>
      <c r="T11" s="32">
        <f t="shared" si="13"/>
        <v>61298.639999999992</v>
      </c>
      <c r="U11" s="32">
        <f t="shared" si="13"/>
        <v>40865.759999999995</v>
      </c>
      <c r="V11" s="10">
        <f t="shared" si="13"/>
        <v>15500</v>
      </c>
      <c r="W11" s="10">
        <f t="shared" si="13"/>
        <v>95382</v>
      </c>
      <c r="X11" s="10">
        <f t="shared" si="13"/>
        <v>488210.55333333334</v>
      </c>
      <c r="Y11" s="10">
        <f t="shared" si="13"/>
        <v>0</v>
      </c>
      <c r="Z11" s="10"/>
      <c r="AA11" s="10">
        <f>SUM(AA3:AA10)</f>
        <v>3598365.4466666672</v>
      </c>
      <c r="AC11" s="21"/>
      <c r="AD11" s="14"/>
    </row>
    <row r="12" spans="1:31" ht="18" customHeight="1" x14ac:dyDescent="0.25">
      <c r="A12" s="1"/>
      <c r="B12" s="1"/>
      <c r="C12" s="1"/>
      <c r="D12" s="1"/>
      <c r="E12" s="1"/>
      <c r="F12" s="15">
        <v>140000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9">
        <v>0</v>
      </c>
      <c r="N12" s="25">
        <v>140000</v>
      </c>
      <c r="O12" s="7">
        <v>140000</v>
      </c>
      <c r="P12" s="2">
        <v>0</v>
      </c>
      <c r="Q12" s="2">
        <v>0</v>
      </c>
      <c r="R12" s="2">
        <v>0</v>
      </c>
      <c r="S12" s="9">
        <v>0</v>
      </c>
      <c r="T12" s="9">
        <v>0</v>
      </c>
      <c r="U12" s="9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6">
        <v>140000</v>
      </c>
      <c r="AC12" s="21"/>
      <c r="AD12" s="14"/>
    </row>
    <row r="13" spans="1:31" x14ac:dyDescent="0.25">
      <c r="A13" s="1"/>
      <c r="B13" s="1"/>
      <c r="C13" s="1"/>
      <c r="D13" s="1"/>
      <c r="E13" s="1"/>
      <c r="F13" s="15">
        <v>160000</v>
      </c>
      <c r="G13" s="2"/>
      <c r="H13" s="2"/>
      <c r="I13" s="2"/>
      <c r="J13" s="2"/>
      <c r="K13" s="2"/>
      <c r="L13" s="2"/>
      <c r="M13" s="9"/>
      <c r="N13" s="25">
        <v>160000</v>
      </c>
      <c r="O13" s="7">
        <v>160000</v>
      </c>
      <c r="P13" s="2"/>
      <c r="Q13" s="2"/>
      <c r="R13" s="2"/>
      <c r="S13" s="9"/>
      <c r="T13" s="9"/>
      <c r="U13" s="9"/>
      <c r="V13" s="2"/>
      <c r="W13" s="2"/>
      <c r="X13" s="2"/>
      <c r="Y13" s="2"/>
      <c r="Z13" s="2"/>
      <c r="AA13" s="26">
        <v>160000</v>
      </c>
      <c r="AC13" s="21"/>
      <c r="AD13" s="14"/>
    </row>
    <row r="14" spans="1:31" x14ac:dyDescent="0.25">
      <c r="A14" s="1"/>
      <c r="B14" s="1"/>
      <c r="C14" s="1"/>
      <c r="D14" s="1"/>
      <c r="E14" s="1"/>
      <c r="F14" s="15"/>
      <c r="G14" s="2"/>
      <c r="H14" s="2"/>
      <c r="I14" s="2"/>
      <c r="J14" s="2"/>
      <c r="K14" s="2"/>
      <c r="L14" s="2"/>
      <c r="M14" s="9"/>
      <c r="N14" s="25"/>
      <c r="O14" s="7">
        <f t="shared" ref="O14" si="14">IF(((F14+G14+H14)*15%)&lt;J14,(F14+G14+H14)+((F14+G14+H14)*15%),(F14+G14+H14)+J14)</f>
        <v>0</v>
      </c>
      <c r="P14" s="2"/>
      <c r="Q14" s="2"/>
      <c r="R14" s="2"/>
      <c r="S14" s="9"/>
      <c r="T14" s="9"/>
      <c r="U14" s="9"/>
      <c r="V14" s="2"/>
      <c r="W14" s="2"/>
      <c r="X14" s="2"/>
      <c r="Y14" s="2"/>
      <c r="Z14" s="2"/>
      <c r="AA14" s="26">
        <f t="shared" ref="AA14" si="15">+M14-X14-Y14+Z14</f>
        <v>0</v>
      </c>
      <c r="AC14" s="21"/>
      <c r="AD14" s="14"/>
    </row>
    <row r="15" spans="1:31" x14ac:dyDescent="0.25">
      <c r="A15" s="1"/>
      <c r="B15" s="1"/>
      <c r="C15" s="1"/>
      <c r="D15" s="1"/>
      <c r="E15" s="1"/>
      <c r="F15" s="15"/>
      <c r="G15" s="2"/>
      <c r="H15" s="2"/>
      <c r="I15" s="2"/>
      <c r="J15" s="2"/>
      <c r="K15" s="2"/>
      <c r="L15" s="2"/>
      <c r="M15" s="9"/>
      <c r="N15" s="25">
        <v>0</v>
      </c>
      <c r="O15" s="7"/>
      <c r="P15" s="2"/>
      <c r="Q15" s="2"/>
      <c r="R15" s="2"/>
      <c r="S15" s="9"/>
      <c r="T15" s="9"/>
      <c r="U15" s="9"/>
      <c r="V15" s="2"/>
      <c r="W15" s="2"/>
      <c r="X15" s="2"/>
      <c r="Y15" s="2"/>
      <c r="Z15" s="2"/>
      <c r="AA15" s="26"/>
      <c r="AC15" s="21"/>
      <c r="AD15" s="14"/>
    </row>
    <row r="16" spans="1:31" ht="18.75" x14ac:dyDescent="0.3">
      <c r="A16" s="5">
        <v>25</v>
      </c>
      <c r="B16" s="5">
        <v>25</v>
      </c>
      <c r="C16" s="5">
        <v>25</v>
      </c>
      <c r="D16" s="5">
        <v>25</v>
      </c>
      <c r="E16" s="5" t="str">
        <f>""</f>
        <v/>
      </c>
      <c r="F16" s="6">
        <f>F11+SUM(F12:F14)</f>
        <v>3150000</v>
      </c>
      <c r="G16" s="6">
        <f>G11+SUM(G12:G14)</f>
        <v>0</v>
      </c>
      <c r="H16" s="6">
        <f t="shared" ref="H16:L16" si="16">H11+SUM(H12:H14)</f>
        <v>60000</v>
      </c>
      <c r="I16" s="6">
        <f t="shared" si="16"/>
        <v>275160</v>
      </c>
      <c r="J16" s="6">
        <f>J11+SUM(J12:J14)</f>
        <v>355000</v>
      </c>
      <c r="K16" s="6">
        <f t="shared" si="16"/>
        <v>508441</v>
      </c>
      <c r="L16" s="6">
        <f t="shared" si="16"/>
        <v>37975</v>
      </c>
      <c r="M16" s="6">
        <f t="shared" ref="M16:Z16" si="17">M11+SUM(M12:M14)</f>
        <v>4086576</v>
      </c>
      <c r="N16" s="6">
        <f t="shared" si="17"/>
        <v>2571000</v>
      </c>
      <c r="O16" s="6">
        <f t="shared" si="17"/>
        <v>3486500</v>
      </c>
      <c r="P16" s="6">
        <f t="shared" si="17"/>
        <v>183362.86666666667</v>
      </c>
      <c r="Q16" s="6">
        <f t="shared" si="17"/>
        <v>18336.286666666667</v>
      </c>
      <c r="R16" s="6">
        <f t="shared" si="17"/>
        <v>31865</v>
      </c>
      <c r="S16" s="6">
        <f t="shared" si="17"/>
        <v>41600</v>
      </c>
      <c r="T16" s="6">
        <f t="shared" si="17"/>
        <v>61298.639999999992</v>
      </c>
      <c r="U16" s="6">
        <f t="shared" si="17"/>
        <v>40865.759999999995</v>
      </c>
      <c r="V16" s="6">
        <f t="shared" si="17"/>
        <v>15500</v>
      </c>
      <c r="W16" s="6">
        <f t="shared" si="17"/>
        <v>95382</v>
      </c>
      <c r="X16" s="6">
        <f t="shared" si="17"/>
        <v>488210.55333333334</v>
      </c>
      <c r="Y16" s="6">
        <f t="shared" si="17"/>
        <v>0</v>
      </c>
      <c r="Z16" s="6">
        <f t="shared" si="17"/>
        <v>0</v>
      </c>
      <c r="AA16" s="6">
        <f>SUM(AA12:AA14)</f>
        <v>300000</v>
      </c>
      <c r="AC16" s="35"/>
    </row>
    <row r="17" spans="2:30" x14ac:dyDescent="0.25">
      <c r="AC17" s="19"/>
      <c r="AD17" s="16"/>
    </row>
    <row r="18" spans="2:30" ht="18.75" x14ac:dyDescent="0.3">
      <c r="AA18" s="14"/>
      <c r="AD18" s="22"/>
    </row>
    <row r="19" spans="2:30" x14ac:dyDescent="0.25">
      <c r="B19" t="s">
        <v>4</v>
      </c>
      <c r="Y19" s="14"/>
      <c r="Z19" s="14"/>
    </row>
    <row r="20" spans="2:30" x14ac:dyDescent="0.25">
      <c r="R20" s="14"/>
      <c r="AA20" s="23"/>
    </row>
    <row r="21" spans="2:30" x14ac:dyDescent="0.25">
      <c r="Z21" s="14"/>
      <c r="AC21" s="14"/>
    </row>
    <row r="22" spans="2:30" x14ac:dyDescent="0.25">
      <c r="Z22" s="23"/>
    </row>
    <row r="25" spans="2:30" x14ac:dyDescent="0.25">
      <c r="AA25" t="s">
        <v>5</v>
      </c>
    </row>
  </sheetData>
  <mergeCells count="1">
    <mergeCell ref="A1:AA1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ETAT DE PAIE</vt:lpstr>
      <vt:lpstr>Feuil1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CTON</dc:creator>
  <cp:lastModifiedBy>AMLA-CAMEROUN</cp:lastModifiedBy>
  <cp:lastPrinted>2015-03-03T13:43:40Z</cp:lastPrinted>
  <dcterms:created xsi:type="dcterms:W3CDTF">2015-03-03T10:14:26Z</dcterms:created>
  <dcterms:modified xsi:type="dcterms:W3CDTF">2019-11-11T15:57:10Z</dcterms:modified>
</cp:coreProperties>
</file>